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<sst xmlns="http://schemas.openxmlformats.org/spreadsheetml/2006/main" count="2034" uniqueCount="290">
  <si>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</si>
  <si>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</si>
  <si>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</si>
  <si>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</si>
  <si>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</si>
  <si>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</si>
  <si>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</si>
  <si>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</si>
  <si>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</si>
  <si>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</si>
  <si>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</si>
  <si>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</si>
  <si>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</si>
  <si>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</si>
  <si>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</si>
  <si>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</si>
  <si>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</si>
  <si>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</si>
  <si>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</si>
  <si>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</si>
  <si>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</si>
  <si>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</si>
  <si>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</si>
  <si>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</si>
  <si>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</si>
  <si>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</si>
  <si>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</si>
  <si>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</si>
  <si>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</si>
  <si>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</si>
  <si>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</si>
  <si>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</si>
  <si>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</si>
  <si>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</si>
  <si>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</si>
  <si>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</si>
  <si>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</si>
  <si>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</si>
  <si>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</si>
  <si>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</si>
  <si>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</si>
  <si>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</si>
  <si>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</si>
  <si>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</si>
  <si>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</si>
  <si>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</si>
  <si>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</si>
  <si>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</si>
  <si>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</si>
  <si>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</si>
  <si>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</si>
  <si>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</si>
  <si>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</si>
  <si>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</si>
  <si>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</si>
  <si>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</si>
  <si>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</si>
  <si>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</si>
  <si>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</si>
  <si>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</si>
  <si>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</si>
  <si>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</si>
  <si>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</si>
  <si>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</si>
  <si>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</si>
  <si>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</si>
  <si>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</si>
  <si>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</si>
  <si>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</si>
  <si>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</si>
  <si>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</si>
  <si>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</si>
  <si>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</si>
  <si>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</si>
  <si>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</si>
  <si>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</si>
  <si>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</si>
  <si>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</si>
  <si>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</si>
  <si>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</si>
  <si>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</si>
  <si>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</si>
  <si>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</si>
  <si>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</si>
  <si>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</si>
  <si>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</si>
  <si>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</si>
  <si>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</si>
  <si>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</si>
  <si>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</si>
  <si>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</si>
  <si>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</si>
  <si>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</si>
  <si>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</si>
  <si>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</si>
  <si>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</si>
  <si>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</si>
  <si>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</si>
  <si>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</si>
  <si>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</si>
  <si>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</si>
  <si>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</si>
  <si>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</si>
  <si>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</si>
  <si>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</si>
  <si>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</si>
  <si>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</si>
  <si>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</si>
  <si>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</si>
  <si>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</si>
  <si>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</si>
  <si>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</si>
  <si>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</si>
  <si>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</si>
  <si>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</si>
  <si>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</si>
  <si>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</si>
  <si>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</si>
  <si>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</si>
  <si>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</si>
  <si>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</si>
  <si>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</si>
  <si>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</si>
  <si>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</si>
  <si>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</si>
  <si>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</si>
  <si>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</si>
  <si>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</si>
  <si>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</si>
  <si>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</si>
  <si>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</si>
  <si>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</si>
  <si>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</si>
  <si>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</si>
  <si>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</si>
  <si>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</si>
  <si>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</si>
  <si>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</si>
  <si>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</si>
  <si>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</si>
  <si>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</si>
  <si>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</si>
  <si>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</si>
  <si>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</si>
  <si>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</si>
  <si>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</si>
  <si>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</si>
  <si>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</si>
  <si>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</si>
  <si>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</si>
  <si>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</si>
  <si>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</si>
  <si>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</si>
  <si>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</si>
  <si>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</si>
  <si>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</si>
  <si>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</si>
  <si>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</si>
  <si>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</si>
  <si>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</si>
  <si>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</si>
  <si>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</si>
  <si>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</si>
  <si>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</si>
  <si>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</si>
  <si>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</si>
  <si>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</si>
  <si>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</si>
  <si>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</si>
  <si>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</si>
  <si>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</si>
  <si>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</si>
  <si>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</si>
  <si>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</si>
  <si>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</si>
  <si>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</si>
  <si>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</si>
  <si>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</si>
  <si>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</si>
  <si>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</si>
  <si>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</si>
  <si>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</si>
  <si>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</si>
  <si>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</si>
  <si>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</si>
  <si>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</si>
  <si>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</si>
  <si>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</si>
  <si>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</si>
  <si>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</si>
  <si>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</si>
  <si>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</si>
  <si>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</si>
  <si>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</si>
  <si>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</si>
  <si>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</si>
  <si>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</si>
  <si>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</si>
  <si>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</si>
  <si>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</si>
  <si>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</si>
  <si>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</si>
  <si>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</si>
  <si>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</si>
  <si>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</si>
  <si>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</si>
  <si>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</si>
  <si>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</si>
  <si>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</si>
  <si>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</si>
  <si>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</si>
  <si>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</si>
  <si>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</si>
  <si>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</si>
  <si>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</si>
  <si>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</si>
  <si>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</si>
  <si>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</si>
  <si>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</si>
  <si>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</si>
  <si>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</si>
  <si>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</si>
  <si>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</si>
  <si>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</si>
  <si>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</si>
  <si>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</si>
  <si>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</si>
  <si>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</si>
  <si>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</si>
  <si>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</si>
  <si>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</si>
  <si>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</si>
  <si>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</si>
  <si>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</si>
  <si>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</si>
  <si>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</si>
  <si>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</si>
  <si>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</si>
  <si>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</si>
  <si>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</si>
  <si>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</si>
  <si>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</si>
  <si>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</si>
  <si>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</si>
  <si>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</si>
  <si>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</si>
  <si>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</si>
  <si>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</si>
  <si>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</si>
  <si>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</si>
  <si>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</si>
  <si>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</si>
  <si>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</si>
  <si>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</si>
  <si>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</si>
  <si>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</si>
  <si>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</si>
  <si>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</si>
  <si>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</si>
  <si>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</si>
  <si>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</si>
  <si>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</si>
  <si>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</si>
  <si>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</si>
  <si>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</si>
  <si>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</si>
  <si>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</si>
  <si>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</si>
  <si>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</si>
  <si>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</si>
  <si>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</si>
  <si>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</si>
  <si>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</si>
  <si>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</si>
  <si>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</si>
  <si>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</si>
  <si>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</si>
  <si>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</si>
  <si>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</si>
  <si>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</si>
  <si>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</si>
  <si>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</si>
  <si>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</si>
  <si>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</si>
  <si>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</si>
  <si>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</si>
  <si>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08.10.14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</si>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</sst>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8520444.619999997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47" sqref="H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4" t="s">
        <v>285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282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279</v>
      </c>
      <c r="H4" s="201" t="s">
        <v>280</v>
      </c>
      <c r="I4" s="203" t="s">
        <v>188</v>
      </c>
      <c r="J4" s="205" t="s">
        <v>189</v>
      </c>
      <c r="K4" s="207" t="s">
        <v>287</v>
      </c>
      <c r="L4" s="208"/>
      <c r="M4" s="195"/>
      <c r="N4" s="181" t="s">
        <v>286</v>
      </c>
      <c r="O4" s="203" t="s">
        <v>136</v>
      </c>
      <c r="P4" s="203" t="s">
        <v>135</v>
      </c>
      <c r="Q4" s="207" t="s">
        <v>289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278</v>
      </c>
      <c r="F5" s="198"/>
      <c r="G5" s="200"/>
      <c r="H5" s="202"/>
      <c r="I5" s="204"/>
      <c r="J5" s="206"/>
      <c r="K5" s="209"/>
      <c r="L5" s="210"/>
      <c r="M5" s="151" t="s">
        <v>281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357742.36999999994</v>
      </c>
      <c r="G8" s="22">
        <f aca="true" t="shared" si="0" ref="G8:G30">F8-E8</f>
        <v>-33261.26999999996</v>
      </c>
      <c r="H8" s="51">
        <f>F8/E8*100</f>
        <v>91.49336052216803</v>
      </c>
      <c r="I8" s="36">
        <f aca="true" t="shared" si="1" ref="I8:I17">F8-D8</f>
        <v>-130733.93000000005</v>
      </c>
      <c r="J8" s="36">
        <f aca="true" t="shared" si="2" ref="J8:J14">F8/D8*100</f>
        <v>73.23638219500106</v>
      </c>
      <c r="K8" s="36">
        <f>F8-381548.5</f>
        <v>-23806.130000000063</v>
      </c>
      <c r="L8" s="136">
        <f>F8/381548.5</f>
        <v>0.9376065428117263</v>
      </c>
      <c r="M8" s="22">
        <f>M10+M19+M33+M56+M68+M30</f>
        <v>39644.799999999974</v>
      </c>
      <c r="N8" s="22">
        <f>N10+N19+N33+N56+N68+N30</f>
        <v>9452.319999999982</v>
      </c>
      <c r="O8" s="36">
        <f aca="true" t="shared" si="3" ref="O8:O71">N8-M8</f>
        <v>-30192.479999999992</v>
      </c>
      <c r="P8" s="36">
        <f>F8/M8*100</f>
        <v>902.3689613770285</v>
      </c>
      <c r="Q8" s="36">
        <f>N8-37261.3</f>
        <v>-27808.98000000002</v>
      </c>
      <c r="R8" s="134">
        <f>N8/37261.3</f>
        <v>0.25367660280237087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291393.1</v>
      </c>
      <c r="G9" s="22">
        <f t="shared" si="0"/>
        <v>291393.1</v>
      </c>
      <c r="H9" s="20"/>
      <c r="I9" s="56">
        <f t="shared" si="1"/>
        <v>-95620.10000000003</v>
      </c>
      <c r="J9" s="56">
        <f t="shared" si="2"/>
        <v>75.29280655026753</v>
      </c>
      <c r="K9" s="56"/>
      <c r="L9" s="135"/>
      <c r="M9" s="20">
        <f>M10+M17</f>
        <v>32246.599999999977</v>
      </c>
      <c r="N9" s="20">
        <f>N10+N17</f>
        <v>8779.419999999984</v>
      </c>
      <c r="O9" s="36">
        <f t="shared" si="3"/>
        <v>-23467.179999999993</v>
      </c>
      <c r="P9" s="56">
        <f>F9/M9*100</f>
        <v>903.6397635719741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291393.1</v>
      </c>
      <c r="G10" s="49">
        <f t="shared" si="0"/>
        <v>-28313</v>
      </c>
      <c r="H10" s="40">
        <f aca="true" t="shared" si="4" ref="H10:H17">F10/E10*100</f>
        <v>91.14405386697345</v>
      </c>
      <c r="I10" s="56">
        <f t="shared" si="1"/>
        <v>-95620.10000000003</v>
      </c>
      <c r="J10" s="56">
        <f t="shared" si="2"/>
        <v>75.29280655026753</v>
      </c>
      <c r="K10" s="141">
        <f>F10-302092.5</f>
        <v>-10699.400000000023</v>
      </c>
      <c r="L10" s="142">
        <f>F10/302092.5</f>
        <v>0.9645823712935607</v>
      </c>
      <c r="M10" s="40">
        <f>E10-вересень!E10</f>
        <v>32246.599999999977</v>
      </c>
      <c r="N10" s="40">
        <f>F10-вересень!F10</f>
        <v>8779.419999999984</v>
      </c>
      <c r="O10" s="53">
        <f t="shared" si="3"/>
        <v>-23467.179999999993</v>
      </c>
      <c r="P10" s="56">
        <f aca="true" t="shared" si="5" ref="P10:P17">N10/M10*100</f>
        <v>27.22587807706856</v>
      </c>
      <c r="Q10" s="141">
        <f>N10-29418.1</f>
        <v>-20638.680000000015</v>
      </c>
      <c r="R10" s="142">
        <f>N10/29418.1</f>
        <v>0.29843599688627015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61752.88</v>
      </c>
      <c r="G33" s="49">
        <f aca="true" t="shared" si="14" ref="G33:G72">F33-E33</f>
        <v>-2782.959999999999</v>
      </c>
      <c r="H33" s="40">
        <f aca="true" t="shared" si="15" ref="H33:H67">F33/E33*100</f>
        <v>95.68772948488777</v>
      </c>
      <c r="I33" s="56">
        <f>F33-D33</f>
        <v>-31813.120000000003</v>
      </c>
      <c r="J33" s="56">
        <f aca="true" t="shared" si="16" ref="J33:J72">F33/D33*100</f>
        <v>65.99927324027959</v>
      </c>
      <c r="K33" s="141">
        <f>F33-67415.8</f>
        <v>-5662.9200000000055</v>
      </c>
      <c r="L33" s="142">
        <f>F33/67415.8</f>
        <v>0.9160001067998895</v>
      </c>
      <c r="M33" s="40">
        <f>E33-вересень!E33</f>
        <v>6833.699999999997</v>
      </c>
      <c r="N33" s="40">
        <f>F33-вересень!F33</f>
        <v>520.4199999999983</v>
      </c>
      <c r="O33" s="53">
        <f t="shared" si="3"/>
        <v>-6313.279999999999</v>
      </c>
      <c r="P33" s="56">
        <f aca="true" t="shared" si="17" ref="P33:P67">N33/M33*100</f>
        <v>7.615493802771536</v>
      </c>
      <c r="Q33" s="141">
        <f>N33-7002.6</f>
        <v>-6482.180000000002</v>
      </c>
      <c r="R33" s="142">
        <f>N33/7002.6</f>
        <v>0.0743181104161309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45900.26</v>
      </c>
      <c r="G55" s="144">
        <f t="shared" si="14"/>
        <v>-1505.2799999999988</v>
      </c>
      <c r="H55" s="146">
        <f t="shared" si="15"/>
        <v>96.8246749219606</v>
      </c>
      <c r="I55" s="145">
        <f t="shared" si="18"/>
        <v>-24365.739999999998</v>
      </c>
      <c r="J55" s="145">
        <f t="shared" si="16"/>
        <v>65.32357043235704</v>
      </c>
      <c r="K55" s="148">
        <f>F55-49156.62</f>
        <v>-3256.3600000000006</v>
      </c>
      <c r="L55" s="149">
        <f>F55/49156.62</f>
        <v>0.9337554128009615</v>
      </c>
      <c r="M55" s="40">
        <f>E55-вересень!E55</f>
        <v>4933.700000000004</v>
      </c>
      <c r="N55" s="40">
        <f>F55-вересень!F55</f>
        <v>478.8600000000006</v>
      </c>
      <c r="O55" s="148">
        <f t="shared" si="3"/>
        <v>-4454.840000000004</v>
      </c>
      <c r="P55" s="148">
        <f t="shared" si="17"/>
        <v>9.70590023714454</v>
      </c>
      <c r="Q55" s="160">
        <f>N55-5343.11</f>
        <v>-4864.249999999999</v>
      </c>
      <c r="R55" s="161">
        <f>N55/5343.11</f>
        <v>0.08962196174138294</v>
      </c>
    </row>
    <row r="56" spans="1:18" s="6" customFormat="1" ht="30" customHeight="1">
      <c r="A56" s="8"/>
      <c r="B56" s="15" t="s">
        <v>53</v>
      </c>
      <c r="C56" s="183" t="s">
        <v>288</v>
      </c>
      <c r="D56" s="41">
        <v>6860</v>
      </c>
      <c r="E56" s="41">
        <v>5666.5</v>
      </c>
      <c r="F56" s="169">
        <f>1.51+4982.4</f>
        <v>4983.91</v>
      </c>
      <c r="G56" s="49">
        <f t="shared" si="14"/>
        <v>-682.5900000000001</v>
      </c>
      <c r="H56" s="40">
        <f t="shared" si="15"/>
        <v>87.95393982175946</v>
      </c>
      <c r="I56" s="56">
        <f t="shared" si="18"/>
        <v>-1876.0900000000001</v>
      </c>
      <c r="J56" s="56">
        <f t="shared" si="16"/>
        <v>72.65174927113702</v>
      </c>
      <c r="K56" s="56">
        <f>F56-5173.5</f>
        <v>-189.59000000000015</v>
      </c>
      <c r="L56" s="135">
        <f>F56/5173.5</f>
        <v>0.9633536290712283</v>
      </c>
      <c r="M56" s="40">
        <f>E56-вересень!E56</f>
        <v>553</v>
      </c>
      <c r="N56" s="40">
        <f>F56-вересень!F56</f>
        <v>140.3799999999992</v>
      </c>
      <c r="O56" s="53">
        <f t="shared" si="3"/>
        <v>-412.6200000000008</v>
      </c>
      <c r="P56" s="56">
        <f t="shared" si="17"/>
        <v>25.38517179023494</v>
      </c>
      <c r="Q56" s="56">
        <f>N56-479</f>
        <v>-338.6200000000008</v>
      </c>
      <c r="R56" s="135">
        <f>N56/479</f>
        <v>0.29306889352818205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10501.18</v>
      </c>
      <c r="G74" s="50">
        <f aca="true" t="shared" si="24" ref="G74:G92">F74-E74</f>
        <v>-3195.3199999999997</v>
      </c>
      <c r="H74" s="51">
        <f aca="true" t="shared" si="25" ref="H74:H87">F74/E74*100</f>
        <v>76.67053626838974</v>
      </c>
      <c r="I74" s="36">
        <f aca="true" t="shared" si="26" ref="I74:I92">F74-D74</f>
        <v>-7857.119999999999</v>
      </c>
      <c r="J74" s="36">
        <f aca="true" t="shared" si="27" ref="J74:J92">F74/D74*100</f>
        <v>57.201265912421086</v>
      </c>
      <c r="K74" s="36">
        <f>F74-16325.3</f>
        <v>-5824.119999999999</v>
      </c>
      <c r="L74" s="136">
        <f>F74/16325.3</f>
        <v>0.6432457596491336</v>
      </c>
      <c r="M74" s="22">
        <f>M77+M86+M88+M89+M94+M95+M96+M97+M99+M87+M104</f>
        <v>1516.5</v>
      </c>
      <c r="N74" s="22">
        <f>N77+N86+N88+N89+N94+N95+N96+N97+N99+N32+N104+N87+N103</f>
        <v>741.7470000000003</v>
      </c>
      <c r="O74" s="55">
        <f aca="true" t="shared" si="28" ref="O74:O92">N74-M74</f>
        <v>-774.7529999999997</v>
      </c>
      <c r="P74" s="36">
        <f>N74/M74*100</f>
        <v>48.91177052423345</v>
      </c>
      <c r="Q74" s="36">
        <f>N74-1739.9</f>
        <v>-998.1529999999998</v>
      </c>
      <c r="R74" s="136">
        <f>N74/1739.9</f>
        <v>0.4263158802230015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275.56</v>
      </c>
      <c r="G87" s="49">
        <f t="shared" si="24"/>
        <v>55.56</v>
      </c>
      <c r="H87" s="40">
        <f t="shared" si="25"/>
        <v>125.25454545454546</v>
      </c>
      <c r="I87" s="56">
        <f t="shared" si="26"/>
        <v>-224.44</v>
      </c>
      <c r="J87" s="56">
        <f t="shared" si="27"/>
        <v>55.11200000000001</v>
      </c>
      <c r="K87" s="56">
        <f>F87-222.2</f>
        <v>53.360000000000014</v>
      </c>
      <c r="L87" s="135">
        <f>F87/222.2</f>
        <v>1.2401440144014402</v>
      </c>
      <c r="M87" s="40">
        <f>E87-вересень!E87</f>
        <v>0</v>
      </c>
      <c r="N87" s="40">
        <f>F87-вересень!F87</f>
        <v>3.3100000000000023</v>
      </c>
      <c r="O87" s="53">
        <f t="shared" si="28"/>
        <v>3.3100000000000023</v>
      </c>
      <c r="P87" s="56" t="e">
        <f t="shared" si="29"/>
        <v>#DIV/0!</v>
      </c>
      <c r="Q87" s="56">
        <f>N87-11.9</f>
        <v>-8.589999999999998</v>
      </c>
      <c r="R87" s="135">
        <f>N87/11.9</f>
        <v>0.27815126050420186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101.12</v>
      </c>
      <c r="G89" s="49">
        <f t="shared" si="24"/>
        <v>-42.879999999999995</v>
      </c>
      <c r="H89" s="40">
        <f>F89/E89*100</f>
        <v>70.22222222222223</v>
      </c>
      <c r="I89" s="56">
        <f t="shared" si="26"/>
        <v>-73.88</v>
      </c>
      <c r="J89" s="56">
        <f t="shared" si="27"/>
        <v>57.78285714285715</v>
      </c>
      <c r="K89" s="56">
        <f>F89-137.6</f>
        <v>-36.47999999999999</v>
      </c>
      <c r="L89" s="135">
        <f>F89/137.6</f>
        <v>0.7348837209302326</v>
      </c>
      <c r="M89" s="40">
        <f>E89-вересень!E89</f>
        <v>15</v>
      </c>
      <c r="N89" s="40">
        <f>F89-вересень!F89</f>
        <v>3.1700000000000017</v>
      </c>
      <c r="O89" s="53">
        <f t="shared" si="28"/>
        <v>-11.829999999999998</v>
      </c>
      <c r="P89" s="56">
        <f>N89/M89*100</f>
        <v>21.133333333333347</v>
      </c>
      <c r="Q89" s="56">
        <f>N89-14.4</f>
        <v>-11.229999999999999</v>
      </c>
      <c r="R89" s="135">
        <f>N89/14.4</f>
        <v>0.220138888888889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5936.01</v>
      </c>
      <c r="G95" s="49">
        <f t="shared" si="31"/>
        <v>104.51000000000022</v>
      </c>
      <c r="H95" s="40">
        <f>F95/E95*100</f>
        <v>101.79216325130756</v>
      </c>
      <c r="I95" s="56">
        <f t="shared" si="32"/>
        <v>-1063.9899999999998</v>
      </c>
      <c r="J95" s="56">
        <f>F95/D95*100</f>
        <v>84.80014285714286</v>
      </c>
      <c r="K95" s="56">
        <f>F95-6170</f>
        <v>-233.98999999999978</v>
      </c>
      <c r="L95" s="135">
        <f>F95/6170</f>
        <v>0.9620761750405187</v>
      </c>
      <c r="M95" s="40">
        <f>E95-вересень!E95</f>
        <v>575</v>
      </c>
      <c r="N95" s="40">
        <f>F95-вересень!F95</f>
        <v>570.5900000000001</v>
      </c>
      <c r="O95" s="53">
        <f t="shared" si="33"/>
        <v>-4.4099999999998545</v>
      </c>
      <c r="P95" s="56">
        <f>N95/M95*100</f>
        <v>99.2330434782609</v>
      </c>
      <c r="Q95" s="56">
        <f>N95-652.5</f>
        <v>-81.90999999999985</v>
      </c>
      <c r="R95" s="135">
        <f>N95/652.5</f>
        <v>0.8744674329501918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801.82</v>
      </c>
      <c r="G96" s="49">
        <f t="shared" si="31"/>
        <v>-102.67999999999995</v>
      </c>
      <c r="H96" s="40">
        <f>F96/E96*100</f>
        <v>88.64787175234937</v>
      </c>
      <c r="I96" s="56">
        <f t="shared" si="32"/>
        <v>-398.17999999999995</v>
      </c>
      <c r="J96" s="56">
        <f>F96/D96*100</f>
        <v>66.81833333333333</v>
      </c>
      <c r="K96" s="56">
        <f>F96-930</f>
        <v>-128.17999999999995</v>
      </c>
      <c r="L96" s="135">
        <f>F96/930</f>
        <v>0.8621720430107528</v>
      </c>
      <c r="M96" s="40">
        <f>E96-вересень!E96</f>
        <v>110</v>
      </c>
      <c r="N96" s="40">
        <f>F96-вересень!F96</f>
        <v>19.440000000000055</v>
      </c>
      <c r="O96" s="53">
        <f t="shared" si="33"/>
        <v>-90.55999999999995</v>
      </c>
      <c r="P96" s="56">
        <f>N96/M96*100</f>
        <v>17.67272727272732</v>
      </c>
      <c r="Q96" s="56">
        <f>N96-134.5</f>
        <v>-115.05999999999995</v>
      </c>
      <c r="R96" s="135">
        <f>N96/134.5</f>
        <v>0.14453531598513053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3239.07</v>
      </c>
      <c r="G99" s="49">
        <f t="shared" si="31"/>
        <v>-97.92999999999984</v>
      </c>
      <c r="H99" s="40">
        <f>F99/E99*100</f>
        <v>97.06532813904705</v>
      </c>
      <c r="I99" s="56">
        <f t="shared" si="32"/>
        <v>-1333.6299999999997</v>
      </c>
      <c r="J99" s="56">
        <f>F99/D99*100</f>
        <v>70.83495527806329</v>
      </c>
      <c r="K99" s="56">
        <f>F99-3845.9</f>
        <v>-606.8299999999999</v>
      </c>
      <c r="L99" s="135">
        <f>F99/3845.9</f>
        <v>0.8422137861098833</v>
      </c>
      <c r="M99" s="40">
        <f>E99-вересень!E99</f>
        <v>330</v>
      </c>
      <c r="N99" s="40">
        <f>F99-вересень!F99</f>
        <v>145.23700000000008</v>
      </c>
      <c r="O99" s="53">
        <f t="shared" si="33"/>
        <v>-184.76299999999992</v>
      </c>
      <c r="P99" s="56">
        <f>N99/M99*100</f>
        <v>44.01121212121215</v>
      </c>
      <c r="Q99" s="56">
        <f>N99-434.7</f>
        <v>-289.4629999999999</v>
      </c>
      <c r="R99" s="135">
        <f>N99/434.7</f>
        <v>0.33410858063031995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785.7</v>
      </c>
      <c r="G102" s="144"/>
      <c r="H102" s="146"/>
      <c r="I102" s="145"/>
      <c r="J102" s="145"/>
      <c r="K102" s="148">
        <f>F102-647.5</f>
        <v>138.20000000000005</v>
      </c>
      <c r="L102" s="149">
        <f>F102/647.5</f>
        <v>1.2134362934362934</v>
      </c>
      <c r="M102" s="40">
        <f>E102-вересень!E102</f>
        <v>0</v>
      </c>
      <c r="N102" s="40">
        <f>F102-вересень!F102</f>
        <v>28.5</v>
      </c>
      <c r="O102" s="53"/>
      <c r="P102" s="60"/>
      <c r="Q102" s="60">
        <f>N102-103.3</f>
        <v>-74.8</v>
      </c>
      <c r="R102" s="138">
        <f>N102/103.3</f>
        <v>0.27589545014520817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-45.519999999999996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19.98</v>
      </c>
      <c r="G105" s="49">
        <f>F105-E105</f>
        <v>-7.219999999999999</v>
      </c>
      <c r="H105" s="40">
        <f>F105/E105*100</f>
        <v>73.45588235294119</v>
      </c>
      <c r="I105" s="56">
        <f t="shared" si="34"/>
        <v>-25.02</v>
      </c>
      <c r="J105" s="56">
        <f aca="true" t="shared" si="36" ref="J105:J110">F105/D105*100</f>
        <v>44.4</v>
      </c>
      <c r="K105" s="56">
        <f>F105-17.2</f>
        <v>2.780000000000001</v>
      </c>
      <c r="L105" s="135">
        <f>F105/17.2</f>
        <v>1.1616279069767443</v>
      </c>
      <c r="M105" s="40">
        <f>E105-вересень!E105</f>
        <v>3</v>
      </c>
      <c r="N105" s="40">
        <f>F105-вересень!F105</f>
        <v>0.08000000000000185</v>
      </c>
      <c r="O105" s="53">
        <f t="shared" si="35"/>
        <v>-2.919999999999998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368263.8999999999</v>
      </c>
      <c r="G107" s="175">
        <f>F107-E107</f>
        <v>-36463.44</v>
      </c>
      <c r="H107" s="51">
        <f>F107/E107*100</f>
        <v>90.99061605277271</v>
      </c>
      <c r="I107" s="36">
        <f t="shared" si="34"/>
        <v>-138615.70000000007</v>
      </c>
      <c r="J107" s="36">
        <f t="shared" si="36"/>
        <v>72.65313103940264</v>
      </c>
      <c r="K107" s="36">
        <f>F107-397893.6</f>
        <v>-29629.70000000007</v>
      </c>
      <c r="L107" s="136">
        <f>F107/397893.6</f>
        <v>0.9255336099902083</v>
      </c>
      <c r="M107" s="22">
        <f>M8+M74+M105+M106</f>
        <v>41164.299999999974</v>
      </c>
      <c r="N107" s="22">
        <f>N8+N74+N105+N106</f>
        <v>10194.14699999998</v>
      </c>
      <c r="O107" s="55">
        <f t="shared" si="35"/>
        <v>-30970.15299999999</v>
      </c>
      <c r="P107" s="36">
        <f>N107/M107*100</f>
        <v>24.764533831499595</v>
      </c>
      <c r="Q107" s="36">
        <f>N107-39005.1</f>
        <v>-28810.953000000016</v>
      </c>
      <c r="R107" s="136">
        <f>N107/39005.1</f>
        <v>0.26135420752670757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292194.92</v>
      </c>
      <c r="G108" s="153">
        <f>G10-G18+G96</f>
        <v>-28415.68</v>
      </c>
      <c r="H108" s="72">
        <f>F108/E108*100</f>
        <v>91.13701168956983</v>
      </c>
      <c r="I108" s="52">
        <f t="shared" si="34"/>
        <v>-96018.28000000003</v>
      </c>
      <c r="J108" s="52">
        <f t="shared" si="36"/>
        <v>75.26661123320896</v>
      </c>
      <c r="K108" s="52">
        <f>F108-303111.5</f>
        <v>-10916.580000000016</v>
      </c>
      <c r="L108" s="137">
        <f>F108/303111.5</f>
        <v>0.9639849362363354</v>
      </c>
      <c r="M108" s="71">
        <f>M10-M18+M96</f>
        <v>32356.599999999977</v>
      </c>
      <c r="N108" s="71">
        <f>N10-N18+N96</f>
        <v>8798.859999999984</v>
      </c>
      <c r="O108" s="53">
        <f t="shared" si="35"/>
        <v>-23557.73999999999</v>
      </c>
      <c r="P108" s="52">
        <f>N108/M108*100</f>
        <v>27.193401037191766</v>
      </c>
      <c r="Q108" s="52">
        <f>N108-29552.7</f>
        <v>-20753.84000000002</v>
      </c>
      <c r="R108" s="137">
        <f>N108/29552.7</f>
        <v>0.29773455555668293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76068.97999999992</v>
      </c>
      <c r="G109" s="176">
        <f>F109-E109</f>
        <v>-8047.760000000009</v>
      </c>
      <c r="H109" s="72">
        <f>F109/E109*100</f>
        <v>90.43262970010485</v>
      </c>
      <c r="I109" s="52">
        <f t="shared" si="34"/>
        <v>-42597.42000000004</v>
      </c>
      <c r="J109" s="52">
        <f t="shared" si="36"/>
        <v>64.10321708588104</v>
      </c>
      <c r="K109" s="52">
        <f>F109-94782.1</f>
        <v>-18713.120000000083</v>
      </c>
      <c r="L109" s="137">
        <f>F109/94782.1</f>
        <v>0.8025669403822021</v>
      </c>
      <c r="M109" s="71">
        <f>M107-M108</f>
        <v>8807.699999999997</v>
      </c>
      <c r="N109" s="71">
        <f>N107-N108</f>
        <v>1395.2869999999966</v>
      </c>
      <c r="O109" s="53">
        <f t="shared" si="35"/>
        <v>-7412.4130000000005</v>
      </c>
      <c r="P109" s="52">
        <f>N109/M109*100</f>
        <v>15.841672627360118</v>
      </c>
      <c r="Q109" s="52">
        <f>N109-9452.4</f>
        <v>-8057.113000000003</v>
      </c>
      <c r="R109" s="137">
        <f>N109/9452.4</f>
        <v>0.14761192924548228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292194.92</v>
      </c>
      <c r="G110" s="111">
        <f>F110-E110</f>
        <v>-23045.780000000028</v>
      </c>
      <c r="H110" s="72">
        <f>F110/E110*100</f>
        <v>92.68946554172732</v>
      </c>
      <c r="I110" s="81">
        <f t="shared" si="34"/>
        <v>-96018.28000000003</v>
      </c>
      <c r="J110" s="52">
        <f t="shared" si="36"/>
        <v>75.26661123320896</v>
      </c>
      <c r="K110" s="52"/>
      <c r="L110" s="137"/>
      <c r="M110" s="72">
        <f>E110-вересень!E110</f>
        <v>32356.600000000035</v>
      </c>
      <c r="N110" s="71">
        <f>N108</f>
        <v>8798.859999999984</v>
      </c>
      <c r="O110" s="63">
        <f t="shared" si="35"/>
        <v>-23557.74000000005</v>
      </c>
      <c r="P110" s="52">
        <f>N110/M110*100</f>
        <v>27.193401037191716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1153.76</v>
      </c>
      <c r="G115" s="49">
        <f t="shared" si="37"/>
        <v>-1853.24</v>
      </c>
      <c r="H115" s="40">
        <f aca="true" t="shared" si="39" ref="H115:H126">F115/E115*100</f>
        <v>38.369138676421684</v>
      </c>
      <c r="I115" s="60">
        <f t="shared" si="38"/>
        <v>-2517.74</v>
      </c>
      <c r="J115" s="60">
        <f aca="true" t="shared" si="40" ref="J115:J121">F115/D115*100</f>
        <v>31.424758273185343</v>
      </c>
      <c r="K115" s="60">
        <f>F115-3128</f>
        <v>-1974.24</v>
      </c>
      <c r="L115" s="138">
        <f>F115/3128</f>
        <v>0.36884910485933503</v>
      </c>
      <c r="M115" s="40">
        <f>E115-вересень!E115</f>
        <v>327.4000000000001</v>
      </c>
      <c r="N115" s="40">
        <f>F115-вересень!F115</f>
        <v>30.829999999999927</v>
      </c>
      <c r="O115" s="53">
        <f aca="true" t="shared" si="41" ref="O115:O126">N115-M115</f>
        <v>-296.57000000000016</v>
      </c>
      <c r="P115" s="60">
        <f>N115/M115*100</f>
        <v>9.416615760537544</v>
      </c>
      <c r="Q115" s="60">
        <f>N115-50.4</f>
        <v>-19.57000000000007</v>
      </c>
      <c r="R115" s="138">
        <f>N115/50.4</f>
        <v>0.6117063492063478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249.19</v>
      </c>
      <c r="G116" s="49">
        <f t="shared" si="37"/>
        <v>26.689999999999998</v>
      </c>
      <c r="H116" s="40">
        <f t="shared" si="39"/>
        <v>111.99550561797753</v>
      </c>
      <c r="I116" s="60">
        <f t="shared" si="38"/>
        <v>-18.910000000000025</v>
      </c>
      <c r="J116" s="60">
        <f t="shared" si="40"/>
        <v>92.94666169339799</v>
      </c>
      <c r="K116" s="60">
        <f>F116-231.4</f>
        <v>17.789999999999992</v>
      </c>
      <c r="L116" s="138">
        <f>F116/231.4</f>
        <v>1.0768798617113224</v>
      </c>
      <c r="M116" s="40">
        <f>E116-вересень!E116</f>
        <v>22</v>
      </c>
      <c r="N116" s="40">
        <f>F116-вересень!F116</f>
        <v>12.030000000000001</v>
      </c>
      <c r="O116" s="53">
        <f t="shared" si="41"/>
        <v>-9.969999999999999</v>
      </c>
      <c r="P116" s="60">
        <f>N116/M116*100</f>
        <v>54.68181818181819</v>
      </c>
      <c r="Q116" s="60">
        <f>N116-21.4</f>
        <v>-9.369999999999997</v>
      </c>
      <c r="R116" s="138">
        <f>N116/21.4</f>
        <v>0.5621495327102805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1402.91</v>
      </c>
      <c r="G117" s="62">
        <f t="shared" si="37"/>
        <v>-1826.59</v>
      </c>
      <c r="H117" s="72">
        <f t="shared" si="39"/>
        <v>43.44047066109305</v>
      </c>
      <c r="I117" s="61">
        <f t="shared" si="38"/>
        <v>-2536.6899999999996</v>
      </c>
      <c r="J117" s="61">
        <f t="shared" si="40"/>
        <v>35.610468067824144</v>
      </c>
      <c r="K117" s="61">
        <f>F117-33371</f>
        <v>-31968.09</v>
      </c>
      <c r="L117" s="139">
        <f>F117/3371</f>
        <v>0.4161702758825275</v>
      </c>
      <c r="M117" s="62">
        <f>M115+M116+M114</f>
        <v>349.4000000000001</v>
      </c>
      <c r="N117" s="38">
        <f>SUM(N114:N116)</f>
        <v>42.95999999999993</v>
      </c>
      <c r="O117" s="61">
        <f t="shared" si="41"/>
        <v>-306.44000000000017</v>
      </c>
      <c r="P117" s="61">
        <f>N117/M117*100</f>
        <v>12.295363480251838</v>
      </c>
      <c r="Q117" s="61">
        <f>N117-71.8</f>
        <v>-28.840000000000067</v>
      </c>
      <c r="R117" s="139">
        <f>N117/71.8</f>
        <v>0.5983286908077985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317.17</v>
      </c>
      <c r="G119" s="49">
        <f t="shared" si="37"/>
        <v>56.670000000000016</v>
      </c>
      <c r="H119" s="40">
        <f t="shared" si="39"/>
        <v>121.75431861804222</v>
      </c>
      <c r="I119" s="60">
        <f t="shared" si="38"/>
        <v>49.97000000000003</v>
      </c>
      <c r="J119" s="60">
        <f t="shared" si="40"/>
        <v>118.70134730538923</v>
      </c>
      <c r="K119" s="60">
        <f>F119-234.2</f>
        <v>82.97000000000003</v>
      </c>
      <c r="L119" s="138">
        <f>F119/234.2</f>
        <v>1.3542698548249361</v>
      </c>
      <c r="M119" s="40">
        <f>E119-вересень!E119</f>
        <v>73</v>
      </c>
      <c r="N119" s="40">
        <f>F119-вересень!F119</f>
        <v>3.0200000000000387</v>
      </c>
      <c r="O119" s="53">
        <f>N119-M119</f>
        <v>-69.97999999999996</v>
      </c>
      <c r="P119" s="60">
        <f>N119/M119*100</f>
        <v>4.136986301369916</v>
      </c>
      <c r="Q119" s="60">
        <f>N119-59.7</f>
        <v>-56.679999999999964</v>
      </c>
      <c r="R119" s="138">
        <f>N119/59.7</f>
        <v>0.05058626465661706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61508.55</v>
      </c>
      <c r="G120" s="49">
        <f t="shared" si="37"/>
        <v>1495.9500000000044</v>
      </c>
      <c r="H120" s="40">
        <f t="shared" si="39"/>
        <v>102.49272652742924</v>
      </c>
      <c r="I120" s="53">
        <f t="shared" si="38"/>
        <v>-10467.440000000002</v>
      </c>
      <c r="J120" s="60">
        <f t="shared" si="40"/>
        <v>85.45703921543837</v>
      </c>
      <c r="K120" s="60">
        <f>F120-58190.1</f>
        <v>3318.4500000000044</v>
      </c>
      <c r="L120" s="138">
        <f>F120/58190.1</f>
        <v>1.0570277418323737</v>
      </c>
      <c r="M120" s="40">
        <f>E120-вересень!E120</f>
        <v>7500</v>
      </c>
      <c r="N120" s="40">
        <f>F120-вересень!F120</f>
        <v>1972.0900000000038</v>
      </c>
      <c r="O120" s="53">
        <f t="shared" si="41"/>
        <v>-5527.909999999996</v>
      </c>
      <c r="P120" s="60">
        <f aca="true" t="shared" si="42" ref="P120:P125">N120/M120*100</f>
        <v>26.294533333333387</v>
      </c>
      <c r="Q120" s="60">
        <f>N120-7531</f>
        <v>-5558.909999999996</v>
      </c>
      <c r="R120" s="138">
        <f>N120/7531</f>
        <v>0.2618629664055243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1754.76</v>
      </c>
      <c r="G121" s="49">
        <f t="shared" si="37"/>
        <v>-1444.64</v>
      </c>
      <c r="H121" s="40">
        <f t="shared" si="39"/>
        <v>54.846533725073456</v>
      </c>
      <c r="I121" s="60">
        <f t="shared" si="38"/>
        <v>-2995.24</v>
      </c>
      <c r="J121" s="60">
        <f t="shared" si="40"/>
        <v>36.94231578947368</v>
      </c>
      <c r="K121" s="60">
        <f>F121-1289.6</f>
        <v>465.1600000000001</v>
      </c>
      <c r="L121" s="138">
        <f>F121/1289.6</f>
        <v>1.3607009925558313</v>
      </c>
      <c r="M121" s="40">
        <f>E121-вересень!E121</f>
        <v>1476.4</v>
      </c>
      <c r="N121" s="40">
        <f>F121-вересень!F121</f>
        <v>0.029999999999972715</v>
      </c>
      <c r="O121" s="53">
        <f t="shared" si="41"/>
        <v>-1476.3700000000001</v>
      </c>
      <c r="P121" s="60">
        <f t="shared" si="42"/>
        <v>0.002031969655917957</v>
      </c>
      <c r="Q121" s="60">
        <f>N121-0</f>
        <v>0.029999999999972715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F122-22665.8</f>
        <v>-20021.95</v>
      </c>
      <c r="L122" s="138">
        <f>F122/22665.8</f>
        <v>0.11664490112857256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N122-361.9</f>
        <v>-111.28999999999985</v>
      </c>
      <c r="R122" s="138">
        <f>N122/361.9</f>
        <v>0.6924841116330482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1097.22</v>
      </c>
      <c r="G123" s="49">
        <f t="shared" si="37"/>
        <v>-523.5899999999999</v>
      </c>
      <c r="H123" s="40">
        <f t="shared" si="39"/>
        <v>67.69578173876025</v>
      </c>
      <c r="I123" s="60">
        <f t="shared" si="38"/>
        <v>-902.78</v>
      </c>
      <c r="J123" s="60">
        <f>F123/D123*100</f>
        <v>54.861000000000004</v>
      </c>
      <c r="K123" s="60">
        <f>F123-1722.8</f>
        <v>-625.5799999999999</v>
      </c>
      <c r="L123" s="138">
        <f>F123/1722.8</f>
        <v>0.636881820292547</v>
      </c>
      <c r="M123" s="40">
        <f>E123-вересень!E123</f>
        <v>189.58999999999992</v>
      </c>
      <c r="N123" s="40">
        <f>F123-вересень!F123</f>
        <v>22.309999999999945</v>
      </c>
      <c r="O123" s="53">
        <f t="shared" si="41"/>
        <v>-167.27999999999997</v>
      </c>
      <c r="P123" s="60">
        <f t="shared" si="42"/>
        <v>11.767498285774543</v>
      </c>
      <c r="Q123" s="60">
        <f>N123-62.5</f>
        <v>-40.190000000000055</v>
      </c>
      <c r="R123" s="138">
        <f>N123/62.5</f>
        <v>0.3569599999999991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67321.55</v>
      </c>
      <c r="G124" s="62">
        <f t="shared" si="37"/>
        <v>-15347.98999999999</v>
      </c>
      <c r="H124" s="72">
        <f t="shared" si="39"/>
        <v>81.43452836437703</v>
      </c>
      <c r="I124" s="61">
        <f t="shared" si="38"/>
        <v>-34748.770000000004</v>
      </c>
      <c r="J124" s="61">
        <f>F124/D124*100</f>
        <v>65.95604873189386</v>
      </c>
      <c r="K124" s="61">
        <f>F124-84102.5</f>
        <v>-16780.949999999997</v>
      </c>
      <c r="L124" s="139">
        <f>F124/84102.5</f>
        <v>0.800470259504771</v>
      </c>
      <c r="M124" s="62">
        <f>M120+M121+M122+M123+M119</f>
        <v>13887.79</v>
      </c>
      <c r="N124" s="62">
        <f>N120+N121+N122+N123+N119</f>
        <v>2248.060000000004</v>
      </c>
      <c r="O124" s="61">
        <f t="shared" si="41"/>
        <v>-11639.729999999996</v>
      </c>
      <c r="P124" s="61">
        <f t="shared" si="42"/>
        <v>16.18731274018403</v>
      </c>
      <c r="Q124" s="61">
        <f>N124-8015.1</f>
        <v>-5767.039999999996</v>
      </c>
      <c r="R124" s="139">
        <f>N124/8015.1</f>
        <v>0.28047809759079784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24.17</v>
      </c>
      <c r="G125" s="49">
        <f t="shared" si="37"/>
        <v>-6.989999999999998</v>
      </c>
      <c r="H125" s="40">
        <f t="shared" si="39"/>
        <v>77.56739409499359</v>
      </c>
      <c r="I125" s="60">
        <f t="shared" si="38"/>
        <v>-19.33</v>
      </c>
      <c r="J125" s="60">
        <f>F125/D125*100</f>
        <v>55.5632183908046</v>
      </c>
      <c r="K125" s="60">
        <f>F125-114</f>
        <v>-89.83</v>
      </c>
      <c r="L125" s="138">
        <f>F125/114</f>
        <v>0.21201754385964913</v>
      </c>
      <c r="M125" s="40">
        <f>E125-вересень!E125</f>
        <v>4</v>
      </c>
      <c r="N125" s="40">
        <f>F125-вересень!F125</f>
        <v>0</v>
      </c>
      <c r="O125" s="53">
        <f t="shared" si="41"/>
        <v>-4</v>
      </c>
      <c r="P125" s="60">
        <f t="shared" si="42"/>
        <v>0</v>
      </c>
      <c r="Q125" s="60">
        <f>N125-2.2</f>
        <v>-2.2</v>
      </c>
      <c r="R125" s="138">
        <f>N125/2.2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7371.88</v>
      </c>
      <c r="G128" s="49">
        <f aca="true" t="shared" si="43" ref="G128:G135">F128-E128</f>
        <v>651.3800000000001</v>
      </c>
      <c r="H128" s="40">
        <f>F128/E128*100</f>
        <v>109.69243359869058</v>
      </c>
      <c r="I128" s="60">
        <f aca="true" t="shared" si="44" ref="I128:I135">F128-D128</f>
        <v>-1328.12</v>
      </c>
      <c r="J128" s="60">
        <f>F128/D128*100</f>
        <v>84.73425287356322</v>
      </c>
      <c r="K128" s="60">
        <f>F128-8728.7</f>
        <v>-1356.8200000000006</v>
      </c>
      <c r="L128" s="138">
        <f>F128/8728.7</f>
        <v>0.8445564631617537</v>
      </c>
      <c r="M128" s="40">
        <f>E128-вересень!E128</f>
        <v>2</v>
      </c>
      <c r="N128" s="40">
        <f>F128-вересень!F128</f>
        <v>3</v>
      </c>
      <c r="O128" s="53">
        <f aca="true" t="shared" si="45" ref="O128:O135">N128-M128</f>
        <v>1</v>
      </c>
      <c r="P128" s="60">
        <f>N128/M128*100</f>
        <v>150</v>
      </c>
      <c r="Q128" s="60">
        <f>N128-13.5</f>
        <v>-10.5</v>
      </c>
      <c r="R128" s="162">
        <f>N128/13.5</f>
        <v>0.2222222222222222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1.12</v>
      </c>
      <c r="G129" s="49">
        <f t="shared" si="43"/>
        <v>1.12</v>
      </c>
      <c r="H129" s="40"/>
      <c r="I129" s="60">
        <f t="shared" si="44"/>
        <v>1.12</v>
      </c>
      <c r="J129" s="60"/>
      <c r="K129" s="60">
        <f>F129-1.1</f>
        <v>0.020000000000000018</v>
      </c>
      <c r="L129" s="138">
        <f>F129/1.1</f>
        <v>1.0181818181818183</v>
      </c>
      <c r="M129" s="40">
        <f>E129-вересень!E129</f>
        <v>0</v>
      </c>
      <c r="N129" s="40">
        <f>F129-вересень!F129</f>
        <v>0.040000000000000036</v>
      </c>
      <c r="O129" s="53">
        <f t="shared" si="45"/>
        <v>0.040000000000000036</v>
      </c>
      <c r="P129" s="60"/>
      <c r="Q129" s="60">
        <f>N129-0.1</f>
        <v>-0.05999999999999997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7416.65</v>
      </c>
      <c r="G130" s="62">
        <f t="shared" si="43"/>
        <v>657.79</v>
      </c>
      <c r="H130" s="72">
        <f>F130/E130*100</f>
        <v>109.73226254131615</v>
      </c>
      <c r="I130" s="61">
        <f t="shared" si="44"/>
        <v>-1334.050000000001</v>
      </c>
      <c r="J130" s="61">
        <f>F130/D130*100</f>
        <v>84.75493389100299</v>
      </c>
      <c r="K130" s="61">
        <f>F130-8860.9</f>
        <v>-1444.25</v>
      </c>
      <c r="L130" s="139">
        <f>G130/8860.9</f>
        <v>0.07423512284305206</v>
      </c>
      <c r="M130" s="62">
        <f>M125+M128+M129+M127</f>
        <v>6</v>
      </c>
      <c r="N130" s="62">
        <f>N125+N128+N129+N127</f>
        <v>3.04</v>
      </c>
      <c r="O130" s="61">
        <f t="shared" si="45"/>
        <v>-2.96</v>
      </c>
      <c r="P130" s="61">
        <f>N130/M130*100</f>
        <v>50.66666666666667</v>
      </c>
      <c r="Q130" s="61">
        <f>N130-24.5</f>
        <v>-21.46</v>
      </c>
      <c r="R130" s="137">
        <f>N130/24.5</f>
        <v>0.12408163265306123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76173.73999999999</v>
      </c>
      <c r="G134" s="50">
        <f t="shared" si="43"/>
        <v>-16508.01000000001</v>
      </c>
      <c r="H134" s="51">
        <f>F134/E134*100</f>
        <v>82.18849989345259</v>
      </c>
      <c r="I134" s="36">
        <f t="shared" si="44"/>
        <v>-38616.88000000002</v>
      </c>
      <c r="J134" s="36">
        <f>F134/D134*100</f>
        <v>66.35885405967838</v>
      </c>
      <c r="K134" s="36">
        <f>F134-96362.3</f>
        <v>-20188.560000000012</v>
      </c>
      <c r="L134" s="136">
        <f>F134/96362.3</f>
        <v>0.7904931700467921</v>
      </c>
      <c r="M134" s="31">
        <f>M117+M131+M124+M130+M133+M132</f>
        <v>14243.59</v>
      </c>
      <c r="N134" s="31">
        <f>N117+N131+N124+N130+N133+N132</f>
        <v>2294.830000000004</v>
      </c>
      <c r="O134" s="36">
        <f t="shared" si="45"/>
        <v>-11948.759999999997</v>
      </c>
      <c r="P134" s="36">
        <f>N134/M134*100</f>
        <v>16.11131744174049</v>
      </c>
      <c r="Q134" s="36">
        <f>N134-8114</f>
        <v>-5819.169999999996</v>
      </c>
      <c r="R134" s="136">
        <f>N134/8114</f>
        <v>0.2828235149124974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444437.6399999999</v>
      </c>
      <c r="G135" s="50">
        <f t="shared" si="43"/>
        <v>-52971.45000000001</v>
      </c>
      <c r="H135" s="51">
        <f>F135/E135*100</f>
        <v>89.35052634442205</v>
      </c>
      <c r="I135" s="36">
        <f t="shared" si="44"/>
        <v>-177232.58000000007</v>
      </c>
      <c r="J135" s="36">
        <f>F135/D135*100</f>
        <v>71.49090075442248</v>
      </c>
      <c r="K135" s="36">
        <f>F135-494255.9</f>
        <v>-49818.260000000126</v>
      </c>
      <c r="L135" s="136">
        <f>F135/494255.9</f>
        <v>0.8992055330042593</v>
      </c>
      <c r="M135" s="22">
        <f>M107+M134</f>
        <v>55407.88999999997</v>
      </c>
      <c r="N135" s="22">
        <f>N107+N134</f>
        <v>12488.976999999984</v>
      </c>
      <c r="O135" s="36">
        <f t="shared" si="45"/>
        <v>-42918.912999999986</v>
      </c>
      <c r="P135" s="36">
        <f>N135/M135*100</f>
        <v>22.540069654339824</v>
      </c>
      <c r="Q135" s="36">
        <f>N135-47119.1</f>
        <v>-34630.123000000014</v>
      </c>
      <c r="R135" s="136">
        <f>N135/47119.1</f>
        <v>0.2650512637125918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17</v>
      </c>
      <c r="D137" s="4" t="s">
        <v>118</v>
      </c>
    </row>
    <row r="138" spans="2:17" ht="31.5">
      <c r="B138" s="78" t="s">
        <v>154</v>
      </c>
      <c r="C138" s="39">
        <f>IF(O107&lt;0,ABS(O107/C137),0)</f>
        <v>1821.7737058823525</v>
      </c>
      <c r="D138" s="4" t="s">
        <v>104</v>
      </c>
      <c r="G138" s="211"/>
      <c r="H138" s="211"/>
      <c r="I138" s="211"/>
      <c r="J138" s="21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41920</v>
      </c>
      <c r="D139" s="39">
        <v>749.5</v>
      </c>
      <c r="N139" s="178"/>
      <c r="O139" s="178"/>
    </row>
    <row r="140" spans="3:15" ht="15.75">
      <c r="C140" s="120">
        <v>41919</v>
      </c>
      <c r="D140" s="39">
        <v>4514</v>
      </c>
      <c r="F140" s="4" t="s">
        <v>166</v>
      </c>
      <c r="G140" s="179" t="s">
        <v>151</v>
      </c>
      <c r="H140" s="179"/>
      <c r="I140" s="115">
        <v>9020.59653</v>
      </c>
      <c r="J140" s="180" t="s">
        <v>161</v>
      </c>
      <c r="K140" s="180"/>
      <c r="L140" s="180"/>
      <c r="M140" s="180"/>
      <c r="N140" s="178"/>
      <c r="O140" s="178"/>
    </row>
    <row r="141" spans="3:15" ht="15.75">
      <c r="C141" s="120">
        <v>41918</v>
      </c>
      <c r="D141" s="39">
        <v>1951.1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178"/>
      <c r="O141" s="178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119005.5235</v>
      </c>
      <c r="E143" s="80"/>
      <c r="F143" s="100" t="s">
        <v>147</v>
      </c>
      <c r="G143" s="179" t="s">
        <v>149</v>
      </c>
      <c r="H143" s="179"/>
      <c r="I143" s="116">
        <v>109984.92697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8520.444619999997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4" t="s">
        <v>183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5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6"/>
      <c r="B4" s="188"/>
      <c r="C4" s="189"/>
      <c r="D4" s="221"/>
      <c r="E4" s="226" t="s">
        <v>153</v>
      </c>
      <c r="F4" s="228" t="s">
        <v>116</v>
      </c>
      <c r="G4" s="230" t="s">
        <v>175</v>
      </c>
      <c r="H4" s="201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7"/>
      <c r="B5" s="188"/>
      <c r="C5" s="189"/>
      <c r="D5" s="221"/>
      <c r="E5" s="227"/>
      <c r="F5" s="229"/>
      <c r="G5" s="231"/>
      <c r="H5" s="202"/>
      <c r="I5" s="233"/>
      <c r="J5" s="235"/>
      <c r="K5" s="209" t="s">
        <v>177</v>
      </c>
      <c r="L5" s="210"/>
      <c r="M5" s="206"/>
      <c r="N5" s="182"/>
      <c r="O5" s="233"/>
      <c r="P5" s="220"/>
      <c r="Q5" s="209" t="s">
        <v>179</v>
      </c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1"/>
      <c r="H137" s="211"/>
      <c r="I137" s="211"/>
      <c r="J137" s="21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8"/>
      <c r="O138" s="178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178"/>
      <c r="O139" s="178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178"/>
      <c r="O140" s="178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3" sqref="D14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4" t="s">
        <v>276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272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269</v>
      </c>
      <c r="H4" s="201" t="s">
        <v>270</v>
      </c>
      <c r="I4" s="203" t="s">
        <v>188</v>
      </c>
      <c r="J4" s="205" t="s">
        <v>189</v>
      </c>
      <c r="K4" s="207" t="s">
        <v>274</v>
      </c>
      <c r="L4" s="208"/>
      <c r="M4" s="195"/>
      <c r="N4" s="181" t="s">
        <v>277</v>
      </c>
      <c r="O4" s="203" t="s">
        <v>136</v>
      </c>
      <c r="P4" s="203" t="s">
        <v>135</v>
      </c>
      <c r="Q4" s="207" t="s">
        <v>275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268</v>
      </c>
      <c r="F5" s="198"/>
      <c r="G5" s="200"/>
      <c r="H5" s="202"/>
      <c r="I5" s="204"/>
      <c r="J5" s="206"/>
      <c r="K5" s="209"/>
      <c r="L5" s="210"/>
      <c r="M5" s="151" t="s">
        <v>271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1"/>
      <c r="H138" s="211"/>
      <c r="I138" s="211"/>
      <c r="J138" s="21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78"/>
      <c r="O139" s="178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178"/>
      <c r="O140" s="178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178"/>
      <c r="O141" s="178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4" t="s">
        <v>266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261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259</v>
      </c>
      <c r="H4" s="201" t="s">
        <v>260</v>
      </c>
      <c r="I4" s="203" t="s">
        <v>188</v>
      </c>
      <c r="J4" s="205" t="s">
        <v>189</v>
      </c>
      <c r="K4" s="207" t="s">
        <v>264</v>
      </c>
      <c r="L4" s="208"/>
      <c r="M4" s="195"/>
      <c r="N4" s="181" t="s">
        <v>267</v>
      </c>
      <c r="O4" s="203" t="s">
        <v>136</v>
      </c>
      <c r="P4" s="203" t="s">
        <v>135</v>
      </c>
      <c r="Q4" s="207" t="s">
        <v>265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258</v>
      </c>
      <c r="F5" s="198"/>
      <c r="G5" s="200"/>
      <c r="H5" s="202"/>
      <c r="I5" s="204"/>
      <c r="J5" s="206"/>
      <c r="K5" s="209"/>
      <c r="L5" s="210"/>
      <c r="M5" s="151" t="s">
        <v>262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1"/>
      <c r="H138" s="211"/>
      <c r="I138" s="211"/>
      <c r="J138" s="21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78"/>
      <c r="O139" s="178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178"/>
      <c r="O140" s="178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178"/>
      <c r="O141" s="178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4" t="s">
        <v>256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252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249</v>
      </c>
      <c r="H4" s="201" t="s">
        <v>250</v>
      </c>
      <c r="I4" s="203" t="s">
        <v>188</v>
      </c>
      <c r="J4" s="205" t="s">
        <v>189</v>
      </c>
      <c r="K4" s="207" t="s">
        <v>254</v>
      </c>
      <c r="L4" s="208"/>
      <c r="M4" s="195"/>
      <c r="N4" s="181" t="s">
        <v>257</v>
      </c>
      <c r="O4" s="203" t="s">
        <v>136</v>
      </c>
      <c r="P4" s="203" t="s">
        <v>135</v>
      </c>
      <c r="Q4" s="207" t="s">
        <v>255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248</v>
      </c>
      <c r="F5" s="198"/>
      <c r="G5" s="200"/>
      <c r="H5" s="202"/>
      <c r="I5" s="204"/>
      <c r="J5" s="206"/>
      <c r="K5" s="209"/>
      <c r="L5" s="210"/>
      <c r="M5" s="151" t="s">
        <v>251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1"/>
      <c r="H138" s="211"/>
      <c r="I138" s="211"/>
      <c r="J138" s="21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8"/>
      <c r="O139" s="178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178"/>
      <c r="O140" s="178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178"/>
      <c r="O141" s="178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4" t="s">
        <v>246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243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238</v>
      </c>
      <c r="H4" s="201" t="s">
        <v>239</v>
      </c>
      <c r="I4" s="203" t="s">
        <v>188</v>
      </c>
      <c r="J4" s="205" t="s">
        <v>189</v>
      </c>
      <c r="K4" s="207" t="s">
        <v>240</v>
      </c>
      <c r="L4" s="208"/>
      <c r="M4" s="195"/>
      <c r="N4" s="181" t="s">
        <v>247</v>
      </c>
      <c r="O4" s="203" t="s">
        <v>136</v>
      </c>
      <c r="P4" s="203" t="s">
        <v>135</v>
      </c>
      <c r="Q4" s="207" t="s">
        <v>242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237</v>
      </c>
      <c r="F5" s="198"/>
      <c r="G5" s="200"/>
      <c r="H5" s="202"/>
      <c r="I5" s="204"/>
      <c r="J5" s="206"/>
      <c r="K5" s="209"/>
      <c r="L5" s="210"/>
      <c r="M5" s="151" t="s">
        <v>241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1"/>
      <c r="H138" s="211"/>
      <c r="I138" s="211"/>
      <c r="J138" s="21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8"/>
      <c r="O139" s="178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178"/>
      <c r="O140" s="178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178"/>
      <c r="O141" s="178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4" t="s">
        <v>235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233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229</v>
      </c>
      <c r="H4" s="201" t="s">
        <v>230</v>
      </c>
      <c r="I4" s="203" t="s">
        <v>188</v>
      </c>
      <c r="J4" s="205" t="s">
        <v>189</v>
      </c>
      <c r="K4" s="207" t="s">
        <v>231</v>
      </c>
      <c r="L4" s="208"/>
      <c r="M4" s="195"/>
      <c r="N4" s="181" t="s">
        <v>236</v>
      </c>
      <c r="O4" s="203" t="s">
        <v>136</v>
      </c>
      <c r="P4" s="203" t="s">
        <v>135</v>
      </c>
      <c r="Q4" s="207" t="s">
        <v>234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228</v>
      </c>
      <c r="F5" s="198"/>
      <c r="G5" s="200"/>
      <c r="H5" s="202"/>
      <c r="I5" s="204"/>
      <c r="J5" s="206"/>
      <c r="K5" s="209"/>
      <c r="L5" s="210"/>
      <c r="M5" s="151" t="s">
        <v>232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1"/>
      <c r="H137" s="211"/>
      <c r="I137" s="211"/>
      <c r="J137" s="21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8"/>
      <c r="O138" s="178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178"/>
      <c r="O139" s="178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178"/>
      <c r="O140" s="178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224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225</v>
      </c>
      <c r="N3" s="196" t="s">
        <v>221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217</v>
      </c>
      <c r="H4" s="201" t="s">
        <v>218</v>
      </c>
      <c r="I4" s="203" t="s">
        <v>188</v>
      </c>
      <c r="J4" s="205" t="s">
        <v>189</v>
      </c>
      <c r="K4" s="207" t="s">
        <v>219</v>
      </c>
      <c r="L4" s="208"/>
      <c r="M4" s="195"/>
      <c r="N4" s="181" t="s">
        <v>227</v>
      </c>
      <c r="O4" s="203" t="s">
        <v>136</v>
      </c>
      <c r="P4" s="203" t="s">
        <v>135</v>
      </c>
      <c r="Q4" s="207" t="s">
        <v>222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216</v>
      </c>
      <c r="F5" s="198"/>
      <c r="G5" s="200"/>
      <c r="H5" s="202"/>
      <c r="I5" s="204"/>
      <c r="J5" s="206"/>
      <c r="K5" s="209"/>
      <c r="L5" s="210"/>
      <c r="M5" s="151" t="s">
        <v>220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1"/>
      <c r="H137" s="211"/>
      <c r="I137" s="211"/>
      <c r="J137" s="21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8"/>
      <c r="O138" s="178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178"/>
      <c r="O139" s="178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178"/>
      <c r="O140" s="178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8520.444619999997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4" t="s">
        <v>212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190" t="s">
        <v>208</v>
      </c>
      <c r="E3" s="190"/>
      <c r="F3" s="191" t="s">
        <v>107</v>
      </c>
      <c r="G3" s="192"/>
      <c r="H3" s="192"/>
      <c r="I3" s="192"/>
      <c r="J3" s="192"/>
      <c r="K3" s="192"/>
      <c r="L3" s="193"/>
      <c r="M3" s="194" t="s">
        <v>210</v>
      </c>
      <c r="N3" s="196" t="s">
        <v>198</v>
      </c>
      <c r="O3" s="196"/>
      <c r="P3" s="196"/>
      <c r="Q3" s="196"/>
      <c r="R3" s="196"/>
    </row>
    <row r="4" spans="1:18" ht="22.5" customHeight="1">
      <c r="A4" s="186"/>
      <c r="B4" s="188"/>
      <c r="C4" s="189"/>
      <c r="D4" s="190"/>
      <c r="E4" s="190"/>
      <c r="F4" s="197" t="s">
        <v>116</v>
      </c>
      <c r="G4" s="199" t="s">
        <v>207</v>
      </c>
      <c r="H4" s="201" t="s">
        <v>195</v>
      </c>
      <c r="I4" s="203" t="s">
        <v>188</v>
      </c>
      <c r="J4" s="205" t="s">
        <v>189</v>
      </c>
      <c r="K4" s="207" t="s">
        <v>196</v>
      </c>
      <c r="L4" s="208"/>
      <c r="M4" s="195"/>
      <c r="N4" s="181" t="s">
        <v>213</v>
      </c>
      <c r="O4" s="203" t="s">
        <v>136</v>
      </c>
      <c r="P4" s="203" t="s">
        <v>135</v>
      </c>
      <c r="Q4" s="207" t="s">
        <v>197</v>
      </c>
      <c r="R4" s="208"/>
    </row>
    <row r="5" spans="1:18" ht="82.5" customHeight="1">
      <c r="A5" s="187"/>
      <c r="B5" s="188"/>
      <c r="C5" s="189"/>
      <c r="D5" s="150" t="s">
        <v>209</v>
      </c>
      <c r="E5" s="158" t="s">
        <v>214</v>
      </c>
      <c r="F5" s="198"/>
      <c r="G5" s="200"/>
      <c r="H5" s="202"/>
      <c r="I5" s="204"/>
      <c r="J5" s="206"/>
      <c r="K5" s="209"/>
      <c r="L5" s="210"/>
      <c r="M5" s="151" t="s">
        <v>211</v>
      </c>
      <c r="N5" s="182"/>
      <c r="O5" s="204"/>
      <c r="P5" s="204"/>
      <c r="Q5" s="209"/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1"/>
      <c r="H137" s="211"/>
      <c r="I137" s="211"/>
      <c r="J137" s="21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8"/>
      <c r="O138" s="178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178"/>
      <c r="O139" s="178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178"/>
      <c r="O140" s="178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4" t="s">
        <v>193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26"/>
      <c r="R1" s="127"/>
    </row>
    <row r="2" spans="2:18" s="1" customFormat="1" ht="15.75" customHeight="1">
      <c r="B2" s="185"/>
      <c r="C2" s="185"/>
      <c r="D2" s="18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6"/>
      <c r="B3" s="188"/>
      <c r="C3" s="189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6"/>
      <c r="B4" s="188"/>
      <c r="C4" s="189"/>
      <c r="D4" s="221"/>
      <c r="E4" s="226" t="s">
        <v>191</v>
      </c>
      <c r="F4" s="228" t="s">
        <v>116</v>
      </c>
      <c r="G4" s="230" t="s">
        <v>167</v>
      </c>
      <c r="H4" s="201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7"/>
      <c r="B5" s="188"/>
      <c r="C5" s="189"/>
      <c r="D5" s="221"/>
      <c r="E5" s="227"/>
      <c r="F5" s="229"/>
      <c r="G5" s="231"/>
      <c r="H5" s="202"/>
      <c r="I5" s="233"/>
      <c r="J5" s="235"/>
      <c r="K5" s="209" t="s">
        <v>184</v>
      </c>
      <c r="L5" s="210"/>
      <c r="M5" s="225"/>
      <c r="N5" s="182"/>
      <c r="O5" s="233"/>
      <c r="P5" s="220"/>
      <c r="Q5" s="209" t="s">
        <v>199</v>
      </c>
      <c r="R5" s="21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1"/>
      <c r="H137" s="211"/>
      <c r="I137" s="211"/>
      <c r="J137" s="21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8"/>
      <c r="O138" s="178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178"/>
      <c r="O139" s="178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178"/>
      <c r="O140" s="178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2014-10-09T12:05:00Z</cp:lastPrinted>
  <dcterms:created xsi:type="dcterms:W3CDTF">2003-07-28T11:27:56Z</dcterms:created>
  <dcterms:modified xsi:type="dcterms:W3CDTF">2014-10-09T12:49:26Z</dcterms:modified>
  <cp:category/>
  <cp:version/>
  <cp:contentType/>
  <cp:contentStatus/>
</cp:coreProperties>
</file>